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ps-district\BUSOFC\BUDGET\Budget and Levy Committee\Meeting 12.7.23\ADA\"/>
    </mc:Choice>
  </mc:AlternateContent>
  <xr:revisionPtr revIDLastSave="0" documentId="13_ncr:1_{26CFA31B-B203-4FD2-AD40-D27E5ADBE1A2}" xr6:coauthVersionLast="36" xr6:coauthVersionMax="36" xr10:uidLastSave="{00000000-0000-0000-0000-000000000000}"/>
  <bookViews>
    <workbookView xWindow="0" yWindow="0" windowWidth="28800" windowHeight="12225" xr2:uid="{5B57E587-0D62-4962-A3E7-874B32C57490}"/>
  </bookViews>
  <sheets>
    <sheet name="FY24 ELEM GF" sheetId="1" r:id="rId1"/>
  </sheets>
  <definedNames>
    <definedName name="_xlnm.Print_Area" localSheetId="0">'FY24 ELEM GF'!$A$1:$U$22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N22" i="1"/>
  <c r="J22" i="1"/>
  <c r="H22" i="1"/>
  <c r="E22" i="1"/>
  <c r="B22" i="1"/>
  <c r="T21" i="1"/>
  <c r="S21" i="1"/>
  <c r="Q21" i="1"/>
  <c r="O21" i="1"/>
  <c r="M21" i="1"/>
  <c r="K21" i="1"/>
  <c r="I21" i="1"/>
  <c r="G21" i="1"/>
  <c r="D21" i="1"/>
  <c r="U21" i="1" s="1"/>
  <c r="R20" i="1"/>
  <c r="S20" i="1" s="1"/>
  <c r="Q20" i="1"/>
  <c r="O20" i="1"/>
  <c r="L20" i="1"/>
  <c r="L22" i="1" s="1"/>
  <c r="K20" i="1"/>
  <c r="I20" i="1"/>
  <c r="G20" i="1"/>
  <c r="D20" i="1"/>
  <c r="S19" i="1"/>
  <c r="Q19" i="1"/>
  <c r="O19" i="1"/>
  <c r="M19" i="1"/>
  <c r="K19" i="1"/>
  <c r="I19" i="1"/>
  <c r="G19" i="1"/>
  <c r="D19" i="1"/>
  <c r="U19" i="1" s="1"/>
  <c r="S18" i="1"/>
  <c r="Q18" i="1"/>
  <c r="O18" i="1"/>
  <c r="M18" i="1"/>
  <c r="K18" i="1"/>
  <c r="I18" i="1"/>
  <c r="G18" i="1"/>
  <c r="D18" i="1"/>
  <c r="U18" i="1" s="1"/>
  <c r="S17" i="1"/>
  <c r="Q17" i="1"/>
  <c r="O17" i="1"/>
  <c r="M17" i="1"/>
  <c r="K17" i="1"/>
  <c r="I17" i="1"/>
  <c r="G17" i="1"/>
  <c r="D17" i="1"/>
  <c r="U17" i="1" s="1"/>
  <c r="S16" i="1"/>
  <c r="Q16" i="1"/>
  <c r="O16" i="1"/>
  <c r="M16" i="1"/>
  <c r="K16" i="1"/>
  <c r="I16" i="1"/>
  <c r="G16" i="1"/>
  <c r="D16" i="1"/>
  <c r="U16" i="1" s="1"/>
  <c r="S15" i="1"/>
  <c r="Q15" i="1"/>
  <c r="O15" i="1"/>
  <c r="M15" i="1"/>
  <c r="K15" i="1"/>
  <c r="I15" i="1"/>
  <c r="G15" i="1"/>
  <c r="D15" i="1"/>
  <c r="U15" i="1" s="1"/>
  <c r="S14" i="1"/>
  <c r="Q14" i="1"/>
  <c r="O14" i="1"/>
  <c r="M14" i="1"/>
  <c r="K14" i="1"/>
  <c r="I14" i="1"/>
  <c r="G14" i="1"/>
  <c r="D14" i="1"/>
  <c r="U14" i="1" s="1"/>
  <c r="S13" i="1"/>
  <c r="Q13" i="1"/>
  <c r="O13" i="1"/>
  <c r="M13" i="1"/>
  <c r="K13" i="1"/>
  <c r="I13" i="1"/>
  <c r="G13" i="1"/>
  <c r="D13" i="1"/>
  <c r="U13" i="1" s="1"/>
  <c r="S12" i="1"/>
  <c r="Q12" i="1"/>
  <c r="O12" i="1"/>
  <c r="M12" i="1"/>
  <c r="K12" i="1"/>
  <c r="I12" i="1"/>
  <c r="G12" i="1"/>
  <c r="D12" i="1"/>
  <c r="U12" i="1" s="1"/>
  <c r="U11" i="1"/>
  <c r="S11" i="1"/>
  <c r="Q11" i="1"/>
  <c r="O11" i="1"/>
  <c r="M11" i="1"/>
  <c r="K11" i="1"/>
  <c r="I11" i="1"/>
  <c r="G11" i="1"/>
  <c r="D11" i="1"/>
  <c r="S10" i="1"/>
  <c r="Q10" i="1"/>
  <c r="O10" i="1"/>
  <c r="M10" i="1"/>
  <c r="K10" i="1"/>
  <c r="I10" i="1"/>
  <c r="G10" i="1"/>
  <c r="D10" i="1"/>
  <c r="U10" i="1" s="1"/>
  <c r="S9" i="1"/>
  <c r="Q9" i="1"/>
  <c r="O9" i="1"/>
  <c r="M9" i="1"/>
  <c r="K9" i="1"/>
  <c r="I9" i="1"/>
  <c r="G9" i="1"/>
  <c r="D9" i="1"/>
  <c r="U9" i="1" s="1"/>
  <c r="S8" i="1"/>
  <c r="Q8" i="1"/>
  <c r="O8" i="1"/>
  <c r="M8" i="1"/>
  <c r="K8" i="1"/>
  <c r="I8" i="1"/>
  <c r="G8" i="1"/>
  <c r="D8" i="1"/>
  <c r="U8" i="1" s="1"/>
  <c r="S7" i="1"/>
  <c r="Q7" i="1"/>
  <c r="O7" i="1"/>
  <c r="M7" i="1"/>
  <c r="K7" i="1"/>
  <c r="I7" i="1"/>
  <c r="G7" i="1"/>
  <c r="D7" i="1"/>
  <c r="D22" i="1" s="1"/>
  <c r="S6" i="1"/>
  <c r="Q6" i="1"/>
  <c r="O6" i="1"/>
  <c r="M6" i="1"/>
  <c r="K6" i="1"/>
  <c r="I6" i="1"/>
  <c r="G6" i="1"/>
  <c r="D6" i="1"/>
  <c r="U6" i="1" s="1"/>
  <c r="S5" i="1"/>
  <c r="S22" i="1" s="1"/>
  <c r="Q5" i="1"/>
  <c r="Q22" i="1" s="1"/>
  <c r="O5" i="1"/>
  <c r="O22" i="1" s="1"/>
  <c r="M5" i="1"/>
  <c r="K5" i="1"/>
  <c r="K22" i="1" s="1"/>
  <c r="I5" i="1"/>
  <c r="I22" i="1" s="1"/>
  <c r="G5" i="1"/>
  <c r="G22" i="1" s="1"/>
  <c r="D5" i="1"/>
  <c r="U5" i="1" s="1"/>
  <c r="M4" i="1"/>
  <c r="D4" i="1"/>
  <c r="R22" i="1" l="1"/>
  <c r="M20" i="1"/>
  <c r="U20" i="1" s="1"/>
  <c r="U22" i="1" s="1"/>
  <c r="U4" i="1"/>
  <c r="T20" i="1"/>
  <c r="T22" i="1" s="1"/>
  <c r="U7" i="1"/>
  <c r="M22" i="1" l="1"/>
</calcChain>
</file>

<file path=xl/sharedStrings.xml><?xml version="1.0" encoding="utf-8"?>
<sst xmlns="http://schemas.openxmlformats.org/spreadsheetml/2006/main" count="40" uniqueCount="33">
  <si>
    <t>Quarter Credit</t>
  </si>
  <si>
    <t>BA+0</t>
  </si>
  <si>
    <t>BA+15</t>
  </si>
  <si>
    <t>BA+30</t>
  </si>
  <si>
    <t>BA+45</t>
  </si>
  <si>
    <t>MA+0</t>
  </si>
  <si>
    <t>MA+15</t>
  </si>
  <si>
    <t>MA+30</t>
  </si>
  <si>
    <t>MA+45</t>
  </si>
  <si>
    <t>Total fte</t>
  </si>
  <si>
    <t>Total</t>
  </si>
  <si>
    <t>GF</t>
  </si>
  <si>
    <t>$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</si>
  <si>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</si>
  <si>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</si>
  <si>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</si>
  <si>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</si>
  <si>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</si>
  <si>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</si>
  <si>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</si>
  <si>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</si>
  <si>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</si>
  <si>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</si>
  <si>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</si>
  <si>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</si>
  <si>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</si>
  <si>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</si>
  <si>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Step 15</t>
  </si>
  <si>
    <t>Step 16</t>
  </si>
  <si>
    <t>Step 17</t>
  </si>
  <si>
    <t>Step 18</t>
  </si>
  <si>
    <t>TOTALS</t>
  </si>
  <si>
    <t>FY24 Elementary District Certified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</si>
</sst>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3" fillId="0" borderId="0" xfId="0" applyFont="1" applyFill="1"/>
    <xf numFmtId="0" fontId="5" fillId="0" borderId="2" xfId="3" applyFont="1" applyFill="1" applyBorder="1" applyAlignment="1">
      <alignment horizontal="center" wrapText="1"/>
    </xf>
    <xf numFmtId="44" fontId="5" fillId="0" borderId="6" xfId="2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wrapText="1"/>
    </xf>
    <xf numFmtId="0" fontId="5" fillId="0" borderId="5" xfId="3" applyFont="1" applyFill="1" applyBorder="1" applyAlignment="1">
      <alignment horizontal="center"/>
    </xf>
    <xf numFmtId="44" fontId="5" fillId="0" borderId="5" xfId="2" applyFont="1" applyFill="1" applyBorder="1" applyAlignment="1">
      <alignment horizontal="center"/>
    </xf>
    <xf numFmtId="44" fontId="5" fillId="0" borderId="3" xfId="2" applyFont="1" applyFill="1" applyBorder="1" applyAlignment="1">
      <alignment horizontal="center"/>
    </xf>
    <xf numFmtId="44" fontId="5" fillId="0" borderId="4" xfId="2" applyFont="1" applyFill="1" applyBorder="1" applyAlignment="1">
      <alignment horizontal="center"/>
    </xf>
    <xf numFmtId="2" fontId="5" fillId="0" borderId="3" xfId="2" applyNumberFormat="1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44" fontId="3" fillId="0" borderId="7" xfId="2" applyFont="1" applyFill="1" applyBorder="1"/>
    <xf numFmtId="0" fontId="3" fillId="0" borderId="7" xfId="0" applyFont="1" applyFill="1" applyBorder="1"/>
    <xf numFmtId="164" fontId="3" fillId="0" borderId="7" xfId="2" applyNumberFormat="1" applyFont="1" applyFill="1" applyBorder="1" applyAlignment="1">
      <alignment horizontal="center"/>
    </xf>
    <xf numFmtId="44" fontId="3" fillId="0" borderId="8" xfId="2" applyFont="1" applyFill="1" applyBorder="1"/>
    <xf numFmtId="0" fontId="6" fillId="0" borderId="8" xfId="3" applyFont="1" applyFill="1" applyBorder="1" applyAlignment="1">
      <alignment horizontal="center"/>
    </xf>
    <xf numFmtId="164" fontId="7" fillId="0" borderId="8" xfId="1" applyNumberFormat="1" applyFont="1" applyFill="1" applyBorder="1" applyAlignment="1">
      <alignment horizontal="center" vertical="top"/>
    </xf>
    <xf numFmtId="165" fontId="7" fillId="0" borderId="8" xfId="1" applyNumberFormat="1" applyFont="1" applyFill="1" applyBorder="1" applyAlignment="1">
      <alignment horizontal="center" vertical="top"/>
    </xf>
    <xf numFmtId="44" fontId="7" fillId="0" borderId="8" xfId="2" applyFont="1" applyFill="1" applyBorder="1" applyAlignment="1">
      <alignment horizontal="center" vertical="top"/>
    </xf>
    <xf numFmtId="164" fontId="7" fillId="0" borderId="8" xfId="2" applyNumberFormat="1" applyFont="1" applyFill="1" applyBorder="1" applyAlignment="1">
      <alignment horizontal="center" vertical="top"/>
    </xf>
    <xf numFmtId="0" fontId="6" fillId="0" borderId="9" xfId="3" applyFont="1" applyFill="1" applyBorder="1" applyAlignment="1">
      <alignment horizontal="center"/>
    </xf>
    <xf numFmtId="164" fontId="7" fillId="0" borderId="9" xfId="1" applyNumberFormat="1" applyFont="1" applyFill="1" applyBorder="1" applyAlignment="1">
      <alignment horizontal="center" vertical="top"/>
    </xf>
    <xf numFmtId="44" fontId="7" fillId="0" borderId="9" xfId="2" applyFont="1" applyFill="1" applyBorder="1" applyAlignment="1">
      <alignment horizontal="center" vertical="top"/>
    </xf>
    <xf numFmtId="164" fontId="7" fillId="0" borderId="10" xfId="2" applyNumberFormat="1" applyFont="1" applyFill="1" applyBorder="1" applyAlignment="1">
      <alignment horizontal="center" vertical="top"/>
    </xf>
    <xf numFmtId="44" fontId="3" fillId="0" borderId="9" xfId="2" applyFont="1" applyFill="1" applyBorder="1"/>
    <xf numFmtId="0" fontId="5" fillId="0" borderId="11" xfId="3" applyFont="1" applyFill="1" applyBorder="1" applyAlignment="1">
      <alignment horizontal="center"/>
    </xf>
    <xf numFmtId="164" fontId="6" fillId="0" borderId="10" xfId="3" applyNumberFormat="1" applyFont="1" applyFill="1" applyBorder="1" applyAlignment="1">
      <alignment horizontal="center"/>
    </xf>
    <xf numFmtId="165" fontId="6" fillId="0" borderId="10" xfId="3" applyNumberFormat="1" applyFont="1" applyFill="1" applyBorder="1" applyAlignment="1">
      <alignment horizontal="center"/>
    </xf>
    <xf numFmtId="44" fontId="6" fillId="0" borderId="10" xfId="2" applyFont="1" applyFill="1" applyBorder="1" applyAlignment="1">
      <alignment horizontal="center"/>
    </xf>
    <xf numFmtId="164" fontId="5" fillId="0" borderId="12" xfId="2" applyNumberFormat="1" applyFont="1" applyFill="1" applyBorder="1" applyAlignment="1">
      <alignment horizontal="center"/>
    </xf>
    <xf numFmtId="44" fontId="8" fillId="0" borderId="12" xfId="2" applyFont="1" applyFill="1" applyBorder="1"/>
    <xf numFmtId="44" fontId="3" fillId="0" borderId="0" xfId="2" applyFont="1" applyFill="1"/>
    <xf numFmtId="2" fontId="3" fillId="0" borderId="0" xfId="2" applyNumberFormat="1" applyFont="1" applyFill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2" fontId="5" fillId="0" borderId="4" xfId="2" applyNumberFormat="1" applyFont="1" applyFill="1" applyBorder="1" applyAlignment="1">
      <alignment horizontal="center" wrapText="1"/>
    </xf>
    <xf numFmtId="44" fontId="5" fillId="0" borderId="6" xfId="2" applyFont="1" applyFill="1" applyBorder="1" applyAlignment="1">
      <alignment horizontal="center" wrapText="1"/>
    </xf>
    <xf numFmtId="0" fontId="5" fillId="0" borderId="3" xfId="3" applyFont="1" applyFill="1" applyBorder="1" applyAlignment="1">
      <alignment wrapText="1"/>
    </xf>
    <xf numFmtId="0" fontId="5" fillId="0" borderId="4" xfId="3" applyFont="1" applyFill="1" applyBorder="1" applyAlignment="1">
      <alignment wrapText="1"/>
    </xf>
    <xf numFmtId="0" fontId="5" fillId="0" borderId="5" xfId="3" applyFont="1" applyFill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89A6F26E-BFD0-4405-B1F6-E948B2DD8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49DDC-19AF-43D9-A5DD-13D7A5709C1D}">
  <sheetPr>
    <pageSetUpPr fitToPage="1"/>
  </sheetPr>
  <dimension ref="A1:U22"/>
  <sheetViews>
    <sheetView tabSelected="1" zoomScale="90" zoomScaleNormal="90" workbookViewId="0">
      <selection activeCell="B3" sqref="B3"/>
    </sheetView>
  </sheetViews>
  <sheetFormatPr defaultColWidth="8.7109375" defaultRowHeight="12.75" x14ac:dyDescent="0.2"/>
  <cols>
    <col min="1" max="1" width="6.85546875" style="1" bestFit="1" customWidth="1"/>
    <col min="2" max="2" width="6.42578125" style="1" bestFit="1" customWidth="1"/>
    <col min="3" max="3" width="7.7109375" style="1" customWidth="1"/>
    <col min="4" max="4" width="13.5703125" style="33" bestFit="1" customWidth="1"/>
    <col min="5" max="6" width="5.42578125" style="1" customWidth="1"/>
    <col min="7" max="7" width="12" style="33" bestFit="1" customWidth="1"/>
    <col min="8" max="8" width="5.42578125" style="1" customWidth="1"/>
    <col min="9" max="9" width="12" style="33" bestFit="1" customWidth="1"/>
    <col min="10" max="10" width="6.42578125" style="1" customWidth="1"/>
    <col min="11" max="11" width="15.140625" style="33" customWidth="1"/>
    <col min="12" max="12" width="7.42578125" style="1" bestFit="1" customWidth="1"/>
    <col min="13" max="13" width="13.5703125" style="33" bestFit="1" customWidth="1"/>
    <col min="14" max="14" width="6.42578125" style="1" bestFit="1" customWidth="1"/>
    <col min="15" max="15" width="13.5703125" style="33" bestFit="1" customWidth="1"/>
    <col min="16" max="16" width="6.42578125" style="1" customWidth="1"/>
    <col min="17" max="17" width="13.5703125" style="33" bestFit="1" customWidth="1"/>
    <col min="18" max="18" width="7.42578125" style="1" customWidth="1"/>
    <col min="19" max="19" width="14.5703125" style="33" bestFit="1" customWidth="1"/>
    <col min="20" max="20" width="7.5703125" style="34" bestFit="1" customWidth="1"/>
    <col min="21" max="21" width="14.7109375" style="33" bestFit="1" customWidth="1"/>
    <col min="22" max="16384" width="8.7109375" style="1"/>
  </cols>
  <sheetData>
    <row r="1" spans="1:21" ht="36" customHeight="1" thickBot="1" x14ac:dyDescent="0.45">
      <c r="A1" s="35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39" thickBot="1" x14ac:dyDescent="0.25">
      <c r="A2" s="2" t="s">
        <v>0</v>
      </c>
      <c r="C2" s="40"/>
      <c r="D2" s="39" t="s">
        <v>1</v>
      </c>
      <c r="F2" s="40"/>
      <c r="G2" s="39" t="s">
        <v>2</v>
      </c>
      <c r="I2" s="39" t="s">
        <v>3</v>
      </c>
      <c r="K2" s="39" t="s">
        <v>4</v>
      </c>
      <c r="M2" s="39" t="s">
        <v>5</v>
      </c>
      <c r="O2" s="39" t="s">
        <v>6</v>
      </c>
      <c r="Q2" s="39" t="s">
        <v>7</v>
      </c>
      <c r="S2" s="41" t="s">
        <v>8</v>
      </c>
      <c r="T2" s="37" t="s">
        <v>9</v>
      </c>
      <c r="U2" s="38" t="s">
        <v>10</v>
      </c>
    </row>
    <row r="3" spans="1:21" ht="13.5" thickBot="1" x14ac:dyDescent="0.25">
      <c r="A3" s="4"/>
      <c r="B3" s="5" t="s">
        <v>11</v>
      </c>
      <c r="C3" s="5" t="s">
        <v>12</v>
      </c>
      <c r="D3" s="6"/>
      <c r="E3" s="5" t="s">
        <v>11</v>
      </c>
      <c r="F3" s="5"/>
      <c r="G3" s="6"/>
      <c r="H3" s="5" t="s">
        <v>11</v>
      </c>
      <c r="I3" s="6"/>
      <c r="J3" s="5" t="s">
        <v>11</v>
      </c>
      <c r="K3" s="6"/>
      <c r="L3" s="5" t="s">
        <v>11</v>
      </c>
      <c r="M3" s="6"/>
      <c r="N3" s="5" t="s">
        <v>11</v>
      </c>
      <c r="O3" s="6"/>
      <c r="P3" s="5" t="s">
        <v>11</v>
      </c>
      <c r="Q3" s="7"/>
      <c r="R3" s="5" t="s">
        <v>11</v>
      </c>
      <c r="S3" s="8"/>
      <c r="T3" s="9"/>
      <c r="U3" s="3"/>
    </row>
    <row r="4" spans="1:21" x14ac:dyDescent="0.2">
      <c r="A4" s="10" t="s">
        <v>13</v>
      </c>
      <c r="B4" s="11">
        <v>3</v>
      </c>
      <c r="C4" s="12">
        <v>41023</v>
      </c>
      <c r="D4" s="13">
        <f>B4*41023</f>
        <v>123069</v>
      </c>
      <c r="E4" s="14">
        <v>0</v>
      </c>
      <c r="F4" s="14"/>
      <c r="G4" s="13">
        <v>0</v>
      </c>
      <c r="H4" s="14">
        <v>0</v>
      </c>
      <c r="I4" s="13">
        <v>0</v>
      </c>
      <c r="J4" s="14">
        <v>0</v>
      </c>
      <c r="K4" s="13">
        <v>0</v>
      </c>
      <c r="L4" s="11">
        <v>3</v>
      </c>
      <c r="M4" s="13">
        <f>L4*45671</f>
        <v>137013</v>
      </c>
      <c r="N4" s="14">
        <v>0</v>
      </c>
      <c r="O4" s="13">
        <v>0</v>
      </c>
      <c r="P4" s="14">
        <v>0</v>
      </c>
      <c r="Q4" s="13">
        <v>0</v>
      </c>
      <c r="R4" s="14">
        <v>0</v>
      </c>
      <c r="S4" s="13">
        <v>0</v>
      </c>
      <c r="T4" s="15">
        <v>6</v>
      </c>
      <c r="U4" s="16">
        <f t="shared" ref="U4:U21" si="0">SUM(D4,G4,I4,K4,M4,O4,Q4,S4)</f>
        <v>260082</v>
      </c>
    </row>
    <row r="5" spans="1:21" x14ac:dyDescent="0.2">
      <c r="A5" s="17" t="s">
        <v>14</v>
      </c>
      <c r="B5" s="18">
        <v>2</v>
      </c>
      <c r="C5" s="19">
        <v>42829</v>
      </c>
      <c r="D5" s="20">
        <f>SUM(B5*42829)</f>
        <v>85658</v>
      </c>
      <c r="E5" s="18">
        <v>0</v>
      </c>
      <c r="F5" s="18"/>
      <c r="G5" s="20">
        <f>SUM(E5*43669)</f>
        <v>0</v>
      </c>
      <c r="H5" s="18">
        <v>1</v>
      </c>
      <c r="I5" s="20">
        <f>SUM(H5*44515)</f>
        <v>44515</v>
      </c>
      <c r="J5" s="18">
        <v>0</v>
      </c>
      <c r="K5" s="20">
        <f>SUM(J5*45360)</f>
        <v>0</v>
      </c>
      <c r="L5" s="18">
        <v>7.8</v>
      </c>
      <c r="M5" s="20">
        <f>SUM(L5*47907)</f>
        <v>373674.6</v>
      </c>
      <c r="N5" s="18">
        <v>0</v>
      </c>
      <c r="O5" s="20">
        <f>SUM(N5*48748)</f>
        <v>0</v>
      </c>
      <c r="P5" s="18">
        <v>0</v>
      </c>
      <c r="Q5" s="20">
        <f>SUM(P5*49593)</f>
        <v>0</v>
      </c>
      <c r="R5" s="18">
        <v>2</v>
      </c>
      <c r="S5" s="20">
        <f>SUM(R5*50438)</f>
        <v>100876</v>
      </c>
      <c r="T5" s="21">
        <v>12.8</v>
      </c>
      <c r="U5" s="16">
        <f t="shared" si="0"/>
        <v>604723.6</v>
      </c>
    </row>
    <row r="6" spans="1:21" x14ac:dyDescent="0.2">
      <c r="A6" s="17" t="s">
        <v>15</v>
      </c>
      <c r="B6" s="18">
        <v>5</v>
      </c>
      <c r="C6" s="19">
        <v>44634</v>
      </c>
      <c r="D6" s="20">
        <f>SUM(B6*44634)</f>
        <v>223170</v>
      </c>
      <c r="E6" s="18">
        <v>1</v>
      </c>
      <c r="F6" s="18"/>
      <c r="G6" s="20">
        <f>SUM(E6*45479)</f>
        <v>45479</v>
      </c>
      <c r="H6" s="18">
        <v>0</v>
      </c>
      <c r="I6" s="20">
        <f>SUM(H6*46320)</f>
        <v>0</v>
      </c>
      <c r="J6" s="18">
        <v>0</v>
      </c>
      <c r="K6" s="20">
        <f>SUM(J6*47161)</f>
        <v>0</v>
      </c>
      <c r="L6" s="18">
        <v>8</v>
      </c>
      <c r="M6" s="20">
        <f>SUM(L6*50143)</f>
        <v>401144</v>
      </c>
      <c r="N6" s="18">
        <v>0</v>
      </c>
      <c r="O6" s="20">
        <f>SUM(N6*50984)</f>
        <v>0</v>
      </c>
      <c r="P6" s="18">
        <v>0</v>
      </c>
      <c r="Q6" s="20">
        <f>SUM(P6*51829)</f>
        <v>0</v>
      </c>
      <c r="R6" s="18">
        <v>1</v>
      </c>
      <c r="S6" s="20">
        <f>SUM(R6*52674)</f>
        <v>52674</v>
      </c>
      <c r="T6" s="21">
        <v>15</v>
      </c>
      <c r="U6" s="16">
        <f t="shared" si="0"/>
        <v>722467</v>
      </c>
    </row>
    <row r="7" spans="1:21" x14ac:dyDescent="0.2">
      <c r="A7" s="17" t="s">
        <v>16</v>
      </c>
      <c r="B7" s="18">
        <v>11.375</v>
      </c>
      <c r="C7" s="19">
        <v>46436</v>
      </c>
      <c r="D7" s="20">
        <f>SUM(B7*46434)</f>
        <v>528186.75</v>
      </c>
      <c r="E7" s="18">
        <v>1</v>
      </c>
      <c r="F7" s="18"/>
      <c r="G7" s="20">
        <f>SUM(E7*47280)</f>
        <v>47280</v>
      </c>
      <c r="H7" s="18">
        <v>1</v>
      </c>
      <c r="I7" s="20">
        <f>SUM(H7*48120)</f>
        <v>48120</v>
      </c>
      <c r="J7" s="18">
        <v>0</v>
      </c>
      <c r="K7" s="20">
        <f>SUM(J7*48966)</f>
        <v>0</v>
      </c>
      <c r="L7" s="18">
        <v>8</v>
      </c>
      <c r="M7" s="20">
        <f>SUM(L7*52375)</f>
        <v>419000</v>
      </c>
      <c r="N7" s="18">
        <v>1</v>
      </c>
      <c r="O7" s="20">
        <f>SUM(N7*53224)</f>
        <v>53224</v>
      </c>
      <c r="P7" s="18">
        <v>0</v>
      </c>
      <c r="Q7" s="20">
        <f>SUM(P7*54065)</f>
        <v>0</v>
      </c>
      <c r="R7" s="18">
        <v>1</v>
      </c>
      <c r="S7" s="20">
        <f>SUM(R7*54906)</f>
        <v>54906</v>
      </c>
      <c r="T7" s="21">
        <v>23.375</v>
      </c>
      <c r="U7" s="16">
        <f t="shared" si="0"/>
        <v>1150716.75</v>
      </c>
    </row>
    <row r="8" spans="1:21" x14ac:dyDescent="0.2">
      <c r="A8" s="17" t="s">
        <v>17</v>
      </c>
      <c r="B8" s="18">
        <v>2</v>
      </c>
      <c r="C8" s="19">
        <v>48239</v>
      </c>
      <c r="D8" s="20">
        <f>SUM(B8*48239)</f>
        <v>96478</v>
      </c>
      <c r="E8" s="18">
        <v>0</v>
      </c>
      <c r="F8" s="18"/>
      <c r="G8" s="20">
        <f>SUM(E8*49085)</f>
        <v>0</v>
      </c>
      <c r="H8" s="18">
        <v>1</v>
      </c>
      <c r="I8" s="20">
        <f>SUM(H8*49925)</f>
        <v>49925</v>
      </c>
      <c r="J8" s="18">
        <v>0</v>
      </c>
      <c r="K8" s="20">
        <f>SUM(J8*50771)</f>
        <v>0</v>
      </c>
      <c r="L8" s="18">
        <v>3</v>
      </c>
      <c r="M8" s="20">
        <f>SUM(L8*54614)</f>
        <v>163842</v>
      </c>
      <c r="N8" s="18">
        <v>4</v>
      </c>
      <c r="O8" s="20">
        <f>SUM(N8*55455)</f>
        <v>221820</v>
      </c>
      <c r="P8" s="18">
        <v>2</v>
      </c>
      <c r="Q8" s="20">
        <f>SUM(P8*56300)</f>
        <v>112600</v>
      </c>
      <c r="R8" s="18">
        <v>4.0999999999999996</v>
      </c>
      <c r="S8" s="20">
        <f>SUM(R8*57141)</f>
        <v>234278.09999999998</v>
      </c>
      <c r="T8" s="21">
        <v>16.100000000000001</v>
      </c>
      <c r="U8" s="16">
        <f t="shared" si="0"/>
        <v>878943.1</v>
      </c>
    </row>
    <row r="9" spans="1:21" x14ac:dyDescent="0.2">
      <c r="A9" s="17" t="s">
        <v>18</v>
      </c>
      <c r="B9" s="18">
        <v>2.8</v>
      </c>
      <c r="C9" s="19">
        <v>50045</v>
      </c>
      <c r="D9" s="20">
        <f>SUM(B9*50044)</f>
        <v>140123.19999999998</v>
      </c>
      <c r="E9" s="18">
        <v>1</v>
      </c>
      <c r="F9" s="18"/>
      <c r="G9" s="20">
        <f>SUM(E9*50885)</f>
        <v>50885</v>
      </c>
      <c r="H9" s="18">
        <v>1</v>
      </c>
      <c r="I9" s="20">
        <f>SUM(H9*51731)</f>
        <v>51731</v>
      </c>
      <c r="J9" s="18">
        <v>0</v>
      </c>
      <c r="K9" s="20">
        <f>SUM(J9*52576)</f>
        <v>0</v>
      </c>
      <c r="L9" s="18">
        <v>8.5</v>
      </c>
      <c r="M9" s="20">
        <f>SUM(L9*56850)</f>
        <v>483225</v>
      </c>
      <c r="N9" s="18">
        <v>3</v>
      </c>
      <c r="O9" s="20">
        <f>SUM(N9*57691)</f>
        <v>173073</v>
      </c>
      <c r="P9" s="18">
        <v>0</v>
      </c>
      <c r="Q9" s="20">
        <f>SUM(P9*58536)</f>
        <v>0</v>
      </c>
      <c r="R9" s="18">
        <v>1.8</v>
      </c>
      <c r="S9" s="20">
        <f>SUM(R9*59377)</f>
        <v>106878.6</v>
      </c>
      <c r="T9" s="21">
        <v>18.100000000000001</v>
      </c>
      <c r="U9" s="16">
        <f t="shared" si="0"/>
        <v>1005915.7999999999</v>
      </c>
    </row>
    <row r="10" spans="1:21" x14ac:dyDescent="0.2">
      <c r="A10" s="17" t="s">
        <v>19</v>
      </c>
      <c r="B10" s="18">
        <v>2</v>
      </c>
      <c r="C10" s="19">
        <v>51849</v>
      </c>
      <c r="D10" s="20">
        <f>SUM(B10*51849)</f>
        <v>103698</v>
      </c>
      <c r="E10" s="18">
        <v>0</v>
      </c>
      <c r="F10" s="18"/>
      <c r="G10" s="20">
        <f>SUM(E10*52695)</f>
        <v>0</v>
      </c>
      <c r="H10" s="18">
        <v>0</v>
      </c>
      <c r="I10" s="20">
        <f>SUM(H10*53531)</f>
        <v>0</v>
      </c>
      <c r="J10" s="18">
        <v>0</v>
      </c>
      <c r="K10" s="20">
        <f>SUM(J10*54376)</f>
        <v>0</v>
      </c>
      <c r="L10" s="18">
        <v>6</v>
      </c>
      <c r="M10" s="20">
        <f>SUM(L10*59086)</f>
        <v>354516</v>
      </c>
      <c r="N10" s="18">
        <v>1</v>
      </c>
      <c r="O10" s="20">
        <f>SUM(N10*59927)</f>
        <v>59927</v>
      </c>
      <c r="P10" s="18">
        <v>0</v>
      </c>
      <c r="Q10" s="20">
        <f>SUM(P10*60768)</f>
        <v>0</v>
      </c>
      <c r="R10" s="18">
        <v>2</v>
      </c>
      <c r="S10" s="20">
        <f>SUM(R10*61617)</f>
        <v>123234</v>
      </c>
      <c r="T10" s="21">
        <v>11</v>
      </c>
      <c r="U10" s="16">
        <f t="shared" si="0"/>
        <v>641375</v>
      </c>
    </row>
    <row r="11" spans="1:21" x14ac:dyDescent="0.2">
      <c r="A11" s="17" t="s">
        <v>20</v>
      </c>
      <c r="B11" s="18">
        <v>2</v>
      </c>
      <c r="C11" s="19">
        <v>51849</v>
      </c>
      <c r="D11" s="20">
        <f>SUM(B11*51849)</f>
        <v>103698</v>
      </c>
      <c r="E11" s="18">
        <v>0</v>
      </c>
      <c r="F11" s="18"/>
      <c r="G11" s="20">
        <f>SUM(E11*54495)</f>
        <v>0</v>
      </c>
      <c r="H11" s="18">
        <v>0</v>
      </c>
      <c r="I11" s="20">
        <f>SUM(H11*55341)</f>
        <v>0</v>
      </c>
      <c r="J11" s="18">
        <v>0</v>
      </c>
      <c r="K11" s="20">
        <f>SUM(J11*56181)</f>
        <v>0</v>
      </c>
      <c r="L11" s="18">
        <v>6.5</v>
      </c>
      <c r="M11" s="20">
        <f>SUM(L11*61322)</f>
        <v>398593</v>
      </c>
      <c r="N11" s="18">
        <v>1</v>
      </c>
      <c r="O11" s="20">
        <f>SUM(N11*62163)</f>
        <v>62163</v>
      </c>
      <c r="P11" s="18">
        <v>2</v>
      </c>
      <c r="Q11" s="20">
        <f>SUM(P11*63008)</f>
        <v>126016</v>
      </c>
      <c r="R11" s="18">
        <v>3.2</v>
      </c>
      <c r="S11" s="20">
        <f>SUM(R11*63849)</f>
        <v>204316.80000000002</v>
      </c>
      <c r="T11" s="21">
        <v>14.7</v>
      </c>
      <c r="U11" s="16">
        <f t="shared" si="0"/>
        <v>894786.8</v>
      </c>
    </row>
    <row r="12" spans="1:21" x14ac:dyDescent="0.2">
      <c r="A12" s="17" t="s">
        <v>21</v>
      </c>
      <c r="B12" s="18">
        <v>4</v>
      </c>
      <c r="C12" s="19">
        <v>51849</v>
      </c>
      <c r="D12" s="20">
        <f>SUM(B12*51849)</f>
        <v>207396</v>
      </c>
      <c r="E12" s="18">
        <v>0</v>
      </c>
      <c r="F12" s="18"/>
      <c r="G12" s="20">
        <f t="shared" ref="G12:G21" si="1">SUM(E12*54495)</f>
        <v>0</v>
      </c>
      <c r="H12" s="18">
        <v>0</v>
      </c>
      <c r="I12" s="20">
        <f>SUM(H12*57141)</f>
        <v>0</v>
      </c>
      <c r="J12" s="18">
        <v>0</v>
      </c>
      <c r="K12" s="20">
        <f>SUM(J12*57987)</f>
        <v>0</v>
      </c>
      <c r="L12" s="18">
        <v>8.5</v>
      </c>
      <c r="M12" s="20">
        <f>SUM(L12*63557)</f>
        <v>540234.5</v>
      </c>
      <c r="N12" s="18">
        <v>3</v>
      </c>
      <c r="O12" s="20">
        <f>SUM(N12*64398)</f>
        <v>193194</v>
      </c>
      <c r="P12" s="18">
        <v>2</v>
      </c>
      <c r="Q12" s="20">
        <f>SUM(P12*65243)</f>
        <v>130486</v>
      </c>
      <c r="R12" s="18">
        <v>1.2</v>
      </c>
      <c r="S12" s="20">
        <f>SUM(R12*66084)</f>
        <v>79300.800000000003</v>
      </c>
      <c r="T12" s="21">
        <v>18.7</v>
      </c>
      <c r="U12" s="16">
        <f t="shared" si="0"/>
        <v>1150611.3</v>
      </c>
    </row>
    <row r="13" spans="1:21" x14ac:dyDescent="0.2">
      <c r="A13" s="17" t="s">
        <v>22</v>
      </c>
      <c r="B13" s="18">
        <v>2</v>
      </c>
      <c r="C13" s="19">
        <v>51849</v>
      </c>
      <c r="D13" s="20">
        <f t="shared" ref="D13:D21" si="2">SUM(B13*51849)</f>
        <v>103698</v>
      </c>
      <c r="E13" s="18">
        <v>2</v>
      </c>
      <c r="F13" s="18"/>
      <c r="G13" s="20">
        <f t="shared" si="1"/>
        <v>108990</v>
      </c>
      <c r="H13" s="18">
        <v>0</v>
      </c>
      <c r="I13" s="20">
        <f t="shared" ref="I13:I21" si="3">SUM(H13*57141)</f>
        <v>0</v>
      </c>
      <c r="J13" s="18">
        <v>0</v>
      </c>
      <c r="K13" s="20">
        <f>SUM(J13*59792)</f>
        <v>0</v>
      </c>
      <c r="L13" s="18">
        <v>2.5</v>
      </c>
      <c r="M13" s="20">
        <f>SUM(L13*65789)</f>
        <v>164472.5</v>
      </c>
      <c r="N13" s="18">
        <v>4.8</v>
      </c>
      <c r="O13" s="20">
        <f>SUM(N13*66634)</f>
        <v>319843.20000000001</v>
      </c>
      <c r="P13" s="18">
        <v>2</v>
      </c>
      <c r="Q13" s="20">
        <f>SUM(P13*67479)</f>
        <v>134958</v>
      </c>
      <c r="R13" s="18">
        <v>4.8</v>
      </c>
      <c r="S13" s="20">
        <f>SUM(R13*68320)</f>
        <v>327936</v>
      </c>
      <c r="T13" s="21">
        <v>18.100000000000001</v>
      </c>
      <c r="U13" s="16">
        <f t="shared" si="0"/>
        <v>1159897.7</v>
      </c>
    </row>
    <row r="14" spans="1:21" x14ac:dyDescent="0.2">
      <c r="A14" s="17" t="s">
        <v>23</v>
      </c>
      <c r="B14" s="18">
        <v>1</v>
      </c>
      <c r="C14" s="19">
        <v>51849</v>
      </c>
      <c r="D14" s="20">
        <f t="shared" si="2"/>
        <v>51849</v>
      </c>
      <c r="E14" s="18">
        <v>0</v>
      </c>
      <c r="F14" s="18"/>
      <c r="G14" s="20">
        <f t="shared" si="1"/>
        <v>0</v>
      </c>
      <c r="H14" s="18">
        <v>0</v>
      </c>
      <c r="I14" s="20">
        <f t="shared" si="3"/>
        <v>0</v>
      </c>
      <c r="J14" s="18">
        <v>0</v>
      </c>
      <c r="K14" s="20">
        <f>SUM(J14*61018)</f>
        <v>0</v>
      </c>
      <c r="L14" s="18">
        <v>7</v>
      </c>
      <c r="M14" s="20">
        <f>SUM(L14*68025)</f>
        <v>476175</v>
      </c>
      <c r="N14" s="18">
        <v>2</v>
      </c>
      <c r="O14" s="20">
        <f>SUM(N14*68870)</f>
        <v>137740</v>
      </c>
      <c r="P14" s="18">
        <v>0</v>
      </c>
      <c r="Q14" s="20">
        <f>SUM(P14*69715)</f>
        <v>0</v>
      </c>
      <c r="R14" s="18">
        <v>9</v>
      </c>
      <c r="S14" s="20">
        <f>SUM(R14*70560)</f>
        <v>635040</v>
      </c>
      <c r="T14" s="21">
        <v>19</v>
      </c>
      <c r="U14" s="16">
        <f t="shared" si="0"/>
        <v>1300804</v>
      </c>
    </row>
    <row r="15" spans="1:21" x14ac:dyDescent="0.2">
      <c r="A15" s="17" t="s">
        <v>24</v>
      </c>
      <c r="B15" s="18">
        <v>0</v>
      </c>
      <c r="C15" s="19">
        <v>51849</v>
      </c>
      <c r="D15" s="20">
        <f t="shared" si="2"/>
        <v>0</v>
      </c>
      <c r="E15" s="18">
        <v>0</v>
      </c>
      <c r="F15" s="18"/>
      <c r="G15" s="20">
        <f t="shared" si="1"/>
        <v>0</v>
      </c>
      <c r="H15" s="18">
        <v>1</v>
      </c>
      <c r="I15" s="20">
        <f t="shared" si="3"/>
        <v>57141</v>
      </c>
      <c r="J15" s="18">
        <v>0</v>
      </c>
      <c r="K15" s="20">
        <f>SUM(J15*62245)</f>
        <v>0</v>
      </c>
      <c r="L15" s="18">
        <v>6.8</v>
      </c>
      <c r="M15" s="20">
        <f t="shared" ref="M15:M19" si="4">SUM(L15*68025)</f>
        <v>462570</v>
      </c>
      <c r="N15" s="18">
        <v>1.8</v>
      </c>
      <c r="O15" s="20">
        <f t="shared" ref="O15:O21" si="5">SUM(N15*71106)</f>
        <v>127990.8</v>
      </c>
      <c r="P15" s="18">
        <v>5</v>
      </c>
      <c r="Q15" s="20">
        <f>SUM(P15*71951)</f>
        <v>359755</v>
      </c>
      <c r="R15" s="18">
        <v>8</v>
      </c>
      <c r="S15" s="20">
        <f>SUM(R15*72788)</f>
        <v>582304</v>
      </c>
      <c r="T15" s="21">
        <v>22.6</v>
      </c>
      <c r="U15" s="16">
        <f t="shared" si="0"/>
        <v>1589760.8</v>
      </c>
    </row>
    <row r="16" spans="1:21" x14ac:dyDescent="0.2">
      <c r="A16" s="17" t="s">
        <v>25</v>
      </c>
      <c r="B16" s="18">
        <v>1</v>
      </c>
      <c r="C16" s="19">
        <v>51849</v>
      </c>
      <c r="D16" s="20">
        <f t="shared" si="2"/>
        <v>51849</v>
      </c>
      <c r="E16" s="18">
        <v>0.875</v>
      </c>
      <c r="F16" s="18"/>
      <c r="G16" s="20">
        <f t="shared" si="1"/>
        <v>47683.125</v>
      </c>
      <c r="H16" s="18">
        <v>0</v>
      </c>
      <c r="I16" s="20">
        <f t="shared" si="3"/>
        <v>0</v>
      </c>
      <c r="J16" s="18">
        <v>1</v>
      </c>
      <c r="K16" s="20">
        <f>SUM(J16*63467)</f>
        <v>63467</v>
      </c>
      <c r="L16" s="18">
        <v>1</v>
      </c>
      <c r="M16" s="20">
        <f t="shared" si="4"/>
        <v>68025</v>
      </c>
      <c r="N16" s="18">
        <v>1</v>
      </c>
      <c r="O16" s="20">
        <f t="shared" si="5"/>
        <v>71106</v>
      </c>
      <c r="P16" s="18">
        <v>3</v>
      </c>
      <c r="Q16" s="20">
        <f t="shared" ref="Q16:Q21" si="6">SUM(P16*74182)</f>
        <v>222546</v>
      </c>
      <c r="R16" s="18">
        <v>1</v>
      </c>
      <c r="S16" s="20">
        <f>SUM(R16*75027)</f>
        <v>75027</v>
      </c>
      <c r="T16" s="21">
        <v>8.875</v>
      </c>
      <c r="U16" s="16">
        <f t="shared" si="0"/>
        <v>599703.125</v>
      </c>
    </row>
    <row r="17" spans="1:21" x14ac:dyDescent="0.2">
      <c r="A17" s="17" t="s">
        <v>26</v>
      </c>
      <c r="B17" s="18">
        <v>0</v>
      </c>
      <c r="C17" s="19">
        <v>51849</v>
      </c>
      <c r="D17" s="20">
        <f t="shared" si="2"/>
        <v>0</v>
      </c>
      <c r="E17" s="18">
        <v>2</v>
      </c>
      <c r="F17" s="18"/>
      <c r="G17" s="20">
        <f t="shared" si="1"/>
        <v>108990</v>
      </c>
      <c r="H17" s="18">
        <v>2</v>
      </c>
      <c r="I17" s="20">
        <f t="shared" si="3"/>
        <v>114282</v>
      </c>
      <c r="J17" s="18">
        <v>0</v>
      </c>
      <c r="K17" s="20">
        <f>SUM(J17*64694)</f>
        <v>0</v>
      </c>
      <c r="L17" s="18">
        <v>2</v>
      </c>
      <c r="M17" s="20">
        <f t="shared" si="4"/>
        <v>136050</v>
      </c>
      <c r="N17" s="18">
        <v>4.5</v>
      </c>
      <c r="O17" s="20">
        <f t="shared" si="5"/>
        <v>319977</v>
      </c>
      <c r="P17" s="18">
        <v>0</v>
      </c>
      <c r="Q17" s="20">
        <f t="shared" si="6"/>
        <v>0</v>
      </c>
      <c r="R17" s="18">
        <v>8</v>
      </c>
      <c r="S17" s="20">
        <f>SUM(R17*77263)</f>
        <v>618104</v>
      </c>
      <c r="T17" s="21">
        <v>18.5</v>
      </c>
      <c r="U17" s="16">
        <f t="shared" si="0"/>
        <v>1297403</v>
      </c>
    </row>
    <row r="18" spans="1:21" x14ac:dyDescent="0.2">
      <c r="A18" s="17" t="s">
        <v>27</v>
      </c>
      <c r="B18" s="18">
        <v>0</v>
      </c>
      <c r="C18" s="19">
        <v>51849</v>
      </c>
      <c r="D18" s="20">
        <f t="shared" si="2"/>
        <v>0</v>
      </c>
      <c r="E18" s="18">
        <v>0</v>
      </c>
      <c r="F18" s="18"/>
      <c r="G18" s="20">
        <f t="shared" si="1"/>
        <v>0</v>
      </c>
      <c r="H18" s="18">
        <v>0</v>
      </c>
      <c r="I18" s="20">
        <f t="shared" si="3"/>
        <v>0</v>
      </c>
      <c r="J18" s="18">
        <v>1</v>
      </c>
      <c r="K18" s="20">
        <f>SUM(J18*65920)</f>
        <v>65920</v>
      </c>
      <c r="L18" s="18">
        <v>3</v>
      </c>
      <c r="M18" s="20">
        <f t="shared" si="4"/>
        <v>204075</v>
      </c>
      <c r="N18" s="18">
        <v>3</v>
      </c>
      <c r="O18" s="20">
        <f t="shared" si="5"/>
        <v>213318</v>
      </c>
      <c r="P18" s="18">
        <v>1</v>
      </c>
      <c r="Q18" s="20">
        <f t="shared" si="6"/>
        <v>74182</v>
      </c>
      <c r="R18" s="18">
        <v>5</v>
      </c>
      <c r="S18" s="20">
        <f>SUM(R18*79499)</f>
        <v>397495</v>
      </c>
      <c r="T18" s="21">
        <v>13</v>
      </c>
      <c r="U18" s="16">
        <f t="shared" si="0"/>
        <v>954990</v>
      </c>
    </row>
    <row r="19" spans="1:21" x14ac:dyDescent="0.2">
      <c r="A19" s="17" t="s">
        <v>28</v>
      </c>
      <c r="B19" s="18">
        <v>2</v>
      </c>
      <c r="C19" s="19">
        <v>51849</v>
      </c>
      <c r="D19" s="20">
        <f t="shared" si="2"/>
        <v>103698</v>
      </c>
      <c r="E19" s="18">
        <v>1</v>
      </c>
      <c r="F19" s="18"/>
      <c r="G19" s="20">
        <f t="shared" si="1"/>
        <v>54495</v>
      </c>
      <c r="H19" s="18">
        <v>1</v>
      </c>
      <c r="I19" s="20">
        <f t="shared" si="3"/>
        <v>57141</v>
      </c>
      <c r="J19" s="18">
        <v>3</v>
      </c>
      <c r="K19" s="20">
        <f>SUM(J19*67147)</f>
        <v>201441</v>
      </c>
      <c r="L19" s="18">
        <v>2.875</v>
      </c>
      <c r="M19" s="20">
        <f t="shared" si="4"/>
        <v>195571.875</v>
      </c>
      <c r="N19" s="18">
        <v>1</v>
      </c>
      <c r="O19" s="20">
        <f t="shared" si="5"/>
        <v>71106</v>
      </c>
      <c r="P19" s="18">
        <v>0</v>
      </c>
      <c r="Q19" s="20">
        <f t="shared" si="6"/>
        <v>0</v>
      </c>
      <c r="R19" s="18">
        <v>2.8</v>
      </c>
      <c r="S19" s="20">
        <f>SUM(R19*81526)</f>
        <v>228272.8</v>
      </c>
      <c r="T19" s="21">
        <v>13.675000000000001</v>
      </c>
      <c r="U19" s="16">
        <f t="shared" si="0"/>
        <v>911725.67500000005</v>
      </c>
    </row>
    <row r="20" spans="1:21" x14ac:dyDescent="0.2">
      <c r="A20" s="17" t="s">
        <v>29</v>
      </c>
      <c r="B20" s="18">
        <v>0</v>
      </c>
      <c r="C20" s="19">
        <v>51849</v>
      </c>
      <c r="D20" s="20">
        <f t="shared" si="2"/>
        <v>0</v>
      </c>
      <c r="E20" s="18">
        <v>0</v>
      </c>
      <c r="F20" s="18"/>
      <c r="G20" s="20">
        <f t="shared" si="1"/>
        <v>0</v>
      </c>
      <c r="H20" s="18">
        <v>0</v>
      </c>
      <c r="I20" s="20">
        <f t="shared" si="3"/>
        <v>0</v>
      </c>
      <c r="J20" s="18">
        <v>0</v>
      </c>
      <c r="K20" s="20">
        <f>SUM(J20*68369)</f>
        <v>0</v>
      </c>
      <c r="L20" s="18">
        <f>18.875-14</f>
        <v>4.875</v>
      </c>
      <c r="M20" s="20">
        <f>SUM(L20*68374)</f>
        <v>333323.25</v>
      </c>
      <c r="N20" s="18">
        <v>0</v>
      </c>
      <c r="O20" s="20">
        <f t="shared" si="5"/>
        <v>0</v>
      </c>
      <c r="P20" s="18">
        <v>1</v>
      </c>
      <c r="Q20" s="20">
        <f t="shared" si="6"/>
        <v>74182</v>
      </c>
      <c r="R20" s="18">
        <f>80.575-66.18</f>
        <v>14.394999999999996</v>
      </c>
      <c r="S20" s="20">
        <f>SUM(R20*83552)</f>
        <v>1202731.0399999996</v>
      </c>
      <c r="T20" s="21">
        <f>SUM(B20,E20,H20,J20,L20,N20,P20,R20)</f>
        <v>20.269999999999996</v>
      </c>
      <c r="U20" s="16">
        <f t="shared" si="0"/>
        <v>1610236.2899999996</v>
      </c>
    </row>
    <row r="21" spans="1:21" ht="13.5" thickBot="1" x14ac:dyDescent="0.25">
      <c r="A21" s="22" t="s">
        <v>30</v>
      </c>
      <c r="B21" s="23">
        <v>0</v>
      </c>
      <c r="C21" s="19">
        <v>51849</v>
      </c>
      <c r="D21" s="24">
        <f t="shared" si="2"/>
        <v>0</v>
      </c>
      <c r="E21" s="23">
        <v>0</v>
      </c>
      <c r="F21" s="23"/>
      <c r="G21" s="24">
        <f t="shared" si="1"/>
        <v>0</v>
      </c>
      <c r="H21" s="23">
        <v>0</v>
      </c>
      <c r="I21" s="24">
        <f t="shared" si="3"/>
        <v>0</v>
      </c>
      <c r="J21" s="23">
        <v>6</v>
      </c>
      <c r="K21" s="24">
        <f>SUM(J21*69596)</f>
        <v>417576</v>
      </c>
      <c r="L21" s="23">
        <v>14</v>
      </c>
      <c r="M21" s="24">
        <f>SUM(L21*69600)</f>
        <v>974400</v>
      </c>
      <c r="N21" s="23">
        <v>9</v>
      </c>
      <c r="O21" s="24">
        <f t="shared" si="5"/>
        <v>639954</v>
      </c>
      <c r="P21" s="23">
        <v>7</v>
      </c>
      <c r="Q21" s="24">
        <f t="shared" si="6"/>
        <v>519274</v>
      </c>
      <c r="R21" s="23">
        <v>66.180000000000007</v>
      </c>
      <c r="S21" s="24">
        <f>SUM(R21*85579)</f>
        <v>5663618.2200000007</v>
      </c>
      <c r="T21" s="25">
        <f>SUM(B21,E21,H21,J21,L21,N21,P21,R21)</f>
        <v>102.18</v>
      </c>
      <c r="U21" s="26">
        <f t="shared" si="0"/>
        <v>8214822.2200000007</v>
      </c>
    </row>
    <row r="22" spans="1:21" ht="13.5" thickBot="1" x14ac:dyDescent="0.25">
      <c r="A22" s="27" t="s">
        <v>31</v>
      </c>
      <c r="B22" s="28">
        <f t="shared" ref="B22:T22" si="7">SUM(B4:B21)</f>
        <v>40.174999999999997</v>
      </c>
      <c r="C22" s="29"/>
      <c r="D22" s="30">
        <f t="shared" si="7"/>
        <v>1922570.95</v>
      </c>
      <c r="E22" s="28">
        <f t="shared" si="7"/>
        <v>8.875</v>
      </c>
      <c r="F22" s="28"/>
      <c r="G22" s="30">
        <f t="shared" si="7"/>
        <v>463802.125</v>
      </c>
      <c r="H22" s="28">
        <f t="shared" si="7"/>
        <v>8</v>
      </c>
      <c r="I22" s="30">
        <f t="shared" si="7"/>
        <v>422855</v>
      </c>
      <c r="J22" s="28">
        <f t="shared" si="7"/>
        <v>11</v>
      </c>
      <c r="K22" s="30">
        <f t="shared" si="7"/>
        <v>748404</v>
      </c>
      <c r="L22" s="28">
        <f t="shared" si="7"/>
        <v>103.35</v>
      </c>
      <c r="M22" s="30">
        <f t="shared" si="7"/>
        <v>6285904.7249999996</v>
      </c>
      <c r="N22" s="28">
        <f t="shared" si="7"/>
        <v>40.1</v>
      </c>
      <c r="O22" s="30">
        <f t="shared" si="7"/>
        <v>2664436</v>
      </c>
      <c r="P22" s="28">
        <f t="shared" si="7"/>
        <v>25</v>
      </c>
      <c r="Q22" s="30">
        <f t="shared" si="7"/>
        <v>1753999</v>
      </c>
      <c r="R22" s="28">
        <f t="shared" si="7"/>
        <v>135.47499999999999</v>
      </c>
      <c r="S22" s="30">
        <f t="shared" si="7"/>
        <v>10686992.359999999</v>
      </c>
      <c r="T22" s="31">
        <f t="shared" si="7"/>
        <v>371.97500000000002</v>
      </c>
      <c r="U22" s="32">
        <f>SUM(U5:U21)</f>
        <v>24688882.160000004</v>
      </c>
    </row>
  </sheetData>
  <pageMargins left="0.5" right="0.25" top="0.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ELEM GF</vt:lpstr>
      <vt:lpstr>'FY24 ELEM GF'!Print_Area</vt:lpstr>
    </vt:vector>
  </TitlesOfParts>
  <Company>Missoula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Wodarz</dc:creator>
  <cp:lastModifiedBy>Stephanie Wodarz</cp:lastModifiedBy>
  <dcterms:created xsi:type="dcterms:W3CDTF">2024-02-29T21:24:10Z</dcterms:created>
  <dcterms:modified xsi:type="dcterms:W3CDTF">2024-02-29T21:26:31Z</dcterms:modified>
</cp:coreProperties>
</file>